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 PHU LAND\"/>
    </mc:Choice>
  </mc:AlternateContent>
  <bookViews>
    <workbookView xWindow="0" yWindow="0" windowWidth="15345" windowHeight="5265"/>
  </bookViews>
  <sheets>
    <sheet name="KET QUA KD" sheetId="1" r:id="rId1"/>
    <sheet name="UOT TINH DT CA PHE" sheetId="2" r:id="rId2"/>
    <sheet name="GIÁ BQ" sheetId="3" r:id="rId3"/>
  </sheets>
  <calcPr calcId="162913"/>
</workbook>
</file>

<file path=xl/calcChain.xml><?xml version="1.0" encoding="utf-8"?>
<calcChain xmlns="http://schemas.openxmlformats.org/spreadsheetml/2006/main">
  <c r="D5" i="2" l="1"/>
  <c r="D54" i="3"/>
  <c r="G10" i="2"/>
  <c r="E26" i="1"/>
  <c r="E27" i="1"/>
  <c r="C5" i="2"/>
  <c r="D53" i="3"/>
  <c r="D40" i="3"/>
  <c r="D34" i="3"/>
  <c r="D29" i="3"/>
  <c r="D25" i="3"/>
  <c r="D17" i="3"/>
  <c r="D11" i="3"/>
  <c r="D4" i="3"/>
  <c r="H10" i="2" l="1"/>
  <c r="C8" i="2"/>
  <c r="C7" i="2"/>
  <c r="E28" i="1"/>
  <c r="E25" i="1"/>
  <c r="E24" i="1"/>
  <c r="E14" i="1"/>
  <c r="E13" i="1"/>
  <c r="E11" i="1"/>
  <c r="E10" i="1"/>
  <c r="E9" i="1"/>
  <c r="E8" i="1"/>
  <c r="F5" i="2" l="1"/>
  <c r="G5" i="2" s="1"/>
  <c r="C6" i="2"/>
  <c r="E23" i="1"/>
  <c r="E21" i="1" s="1"/>
  <c r="E29" i="1" s="1"/>
  <c r="E7" i="1"/>
  <c r="E15" i="1"/>
  <c r="E12" i="1" s="1"/>
  <c r="H5" i="2" l="1"/>
  <c r="H11" i="2" s="1"/>
  <c r="E20" i="1" s="1"/>
  <c r="E17" i="1" s="1"/>
  <c r="D22" i="1" l="1"/>
  <c r="E22" i="1" s="1"/>
  <c r="E18" i="1"/>
  <c r="E19" i="1" s="1"/>
  <c r="E30" i="1" s="1"/>
  <c r="F30" i="1" l="1"/>
  <c r="F8" i="1"/>
</calcChain>
</file>

<file path=xl/sharedStrings.xml><?xml version="1.0" encoding="utf-8"?>
<sst xmlns="http://schemas.openxmlformats.org/spreadsheetml/2006/main" count="110" uniqueCount="108">
  <si>
    <t>BẢNG DIỄN GIẢI DOANH THU CÀ PHÊ</t>
  </si>
  <si>
    <t>DANH MỤC</t>
  </si>
  <si>
    <t>Mật độ lượt 
3 giờ/bàn</t>
  </si>
  <si>
    <t>Lượng Khách
/ngày</t>
  </si>
  <si>
    <t>DT Tháng
 30 ngày</t>
  </si>
  <si>
    <t xml:space="preserve">TỔNG 
BÀN DỰ KIẾN </t>
  </si>
  <si>
    <t>STT</t>
  </si>
  <si>
    <t>Số lượng</t>
  </si>
  <si>
    <t>Đơn vị tính</t>
  </si>
  <si>
    <t>Diễn giải</t>
  </si>
  <si>
    <t>NHÂN SỰ</t>
  </si>
  <si>
    <t>Quản lý (điều hành hoạt động)</t>
  </si>
  <si>
    <t>Mang di</t>
  </si>
  <si>
    <t xml:space="preserve">TỔNG DOANH THU </t>
  </si>
  <si>
    <t>Pha Chế</t>
  </si>
  <si>
    <t>Phục vụ</t>
  </si>
  <si>
    <t>Bảo vệ</t>
  </si>
  <si>
    <t>CHI PHÍ KHÁC</t>
  </si>
  <si>
    <t>Chi phí điện nước</t>
  </si>
  <si>
    <t>Chi phí mặt bằng</t>
  </si>
  <si>
    <t>Chi phí khác</t>
  </si>
  <si>
    <t xml:space="preserve">Thuế </t>
  </si>
  <si>
    <t>Tương đương 40% doanh thu
 bán nước giải khác</t>
  </si>
  <si>
    <t>TỔNG CHI PHÍ HOẠT ĐỘNG</t>
  </si>
  <si>
    <t>LỢI NHUẬN TỪ KD CÀ PHÊ</t>
  </si>
  <si>
    <t>DOANH SỐ KD CÀ PHÊ</t>
  </si>
  <si>
    <t>DOANH SỐ DỊCH VỤ</t>
  </si>
  <si>
    <t>Doanh thu tư vấn dịch vụ</t>
  </si>
  <si>
    <t>Quảng cáo và đăng tin</t>
  </si>
  <si>
    <t>Đại lý báo Mua &amp; Bán</t>
  </si>
  <si>
    <t>Chiết khấu 10% doanh thu</t>
  </si>
  <si>
    <t>Giới thiệu khách mua bán nhà đất</t>
  </si>
  <si>
    <t>Chi phí nhân sự tư vấn</t>
  </si>
  <si>
    <t>LỢI NHUẬN TỪ DỊCH VỤ</t>
  </si>
  <si>
    <t>TỔNG LỢI NHUẬN MÔ HÌNH</t>
  </si>
  <si>
    <t>HỆ THỐNG CÀ PHÊ BẤT ĐỘNG SẢN THE HOUSE - AN PHÚ LAND</t>
  </si>
  <si>
    <t>THỐNG KÊ GIÁ BÌNH QUÂN NƯỚC GIẢI KHÁT TẠI THE HOUSE</t>
  </si>
  <si>
    <t>TÊN SẢN PHẨM</t>
  </si>
  <si>
    <t>GIÁ THÀNH</t>
  </si>
  <si>
    <t>TỶ TRỌNG</t>
  </si>
  <si>
    <t>Cà phê đen</t>
  </si>
  <si>
    <t xml:space="preserve">Cà phê sữa </t>
  </si>
  <si>
    <t>Cà phê đen pha phim</t>
  </si>
  <si>
    <t>Cà phê sữa pha phim</t>
  </si>
  <si>
    <t>Bạc sĩu</t>
  </si>
  <si>
    <t>Cà phê trứng</t>
  </si>
  <si>
    <t>Cookie &amp;Cream</t>
  </si>
  <si>
    <t>Ca cao đá xay</t>
  </si>
  <si>
    <t>Matcha đá xay</t>
  </si>
  <si>
    <t>Tắc xí muội đá xay</t>
  </si>
  <si>
    <t>Yogurt đá xay</t>
  </si>
  <si>
    <t>Bơ</t>
  </si>
  <si>
    <t>Dâu</t>
  </si>
  <si>
    <t>Chuối Ca cao</t>
  </si>
  <si>
    <t>Sapo</t>
  </si>
  <si>
    <t>Sapo cà phê</t>
  </si>
  <si>
    <t>Mãng Cầu</t>
  </si>
  <si>
    <t>Xoài</t>
  </si>
  <si>
    <t>Cà Phê Italy pha máy</t>
  </si>
  <si>
    <t>Cappuccino</t>
  </si>
  <si>
    <t>Latte</t>
  </si>
  <si>
    <t xml:space="preserve">Cam </t>
  </si>
  <si>
    <t>Cam carrot</t>
  </si>
  <si>
    <t>Dưa Hấu</t>
  </si>
  <si>
    <t>Thơm</t>
  </si>
  <si>
    <t>Đá Chanh</t>
  </si>
  <si>
    <t>Lipton chanh</t>
  </si>
  <si>
    <t>Lipton sữa</t>
  </si>
  <si>
    <t>Nước dừa</t>
  </si>
  <si>
    <t>Sting</t>
  </si>
  <si>
    <t>Trà Đào - Trà Vải</t>
  </si>
  <si>
    <t>Trà Đào cam sả</t>
  </si>
  <si>
    <t>Trà Trái Cây nhiệt đới</t>
  </si>
  <si>
    <t>Trà sữa</t>
  </si>
  <si>
    <t>Trà bọt sữa foam</t>
  </si>
  <si>
    <t>Trà Ô Long</t>
  </si>
  <si>
    <t>Trà Thái Xanh</t>
  </si>
  <si>
    <t>Trà Thái Đỏ</t>
  </si>
  <si>
    <t>Trà Matcha</t>
  </si>
  <si>
    <t>MOJITO</t>
  </si>
  <si>
    <t>CÀ PHÊ VIỆT NAM</t>
  </si>
  <si>
    <t>ĐÁ XAY</t>
  </si>
  <si>
    <t>SINH TỐ</t>
  </si>
  <si>
    <t>CAFÉ ITALY PHA MÁY</t>
  </si>
  <si>
    <t>NƯỚC ÉP</t>
  </si>
  <si>
    <t>THỨC UỐNG KHÁC</t>
  </si>
  <si>
    <t>CÁC LOẠI TRÀ</t>
  </si>
  <si>
    <t>GIÁ VỐN</t>
  </si>
  <si>
    <t>LỢI NHUẬN THUẦN</t>
  </si>
  <si>
    <t>GIÁ BÌNH QUÂN</t>
  </si>
  <si>
    <t xml:space="preserve">Số lượng bàn </t>
  </si>
  <si>
    <t>Số lượng ghế</t>
  </si>
  <si>
    <t>Thành tiền</t>
  </si>
  <si>
    <t>Sảnh ngoài</t>
  </si>
  <si>
    <t>Phòng lạnh trước và sau</t>
  </si>
  <si>
    <t>Khu vực trên lầu</t>
  </si>
  <si>
    <t>BẢNG DỰ TOÁN CHI PHÍ - DOANH THU - LỢI NHUẬN</t>
  </si>
  <si>
    <t>Quảng cáo 200k/tháng, giai đoạn đầu miễn phí</t>
  </si>
  <si>
    <t>Chiết khấu dịch vụ khác</t>
  </si>
  <si>
    <t>Chiết khấu 15%/doanh thu</t>
  </si>
  <si>
    <t>DOANH SỐ CHIẾT KHẤU NPP</t>
  </si>
  <si>
    <t>Chiết khấu 8%/giá nhập hàng. Ước tính tiêu thụ
 cà phê chiếm 30%/nguyên vật liệu tiêu thụ tháng</t>
  </si>
  <si>
    <t>GIẢM 20% GIÁ BQ</t>
  </si>
  <si>
    <t>Chi phí ngoại giao dự phòng trích 
từ 5% lợi nhuận tháng liền trước. Cũng có thể sẽ k dùng tới nếu chưa cần</t>
  </si>
  <si>
    <t>Chiết khấu 40%/doanh thu</t>
  </si>
  <si>
    <t>CHI PHÍ 
NGUYÊN VẬT LIỆU</t>
  </si>
  <si>
    <t>Mật độ khách
 60%/bàn</t>
  </si>
  <si>
    <t>Mật độ 60% - Giá BQ 27,500 đ/ly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</si>
</sst>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??_-;_-@"/>
    <numFmt numFmtId="167" formatCode="_(* #,##0_);_(* \(#,##0\);_(* &quot;-&quot;??_);_(@_)"/>
  </numFmts>
  <fonts count="14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7030A0"/>
      <name val="Times New Roman"/>
      <family val="1"/>
    </font>
    <font>
      <sz val="11"/>
      <color rgb="FF000000"/>
      <name val="Calibri"/>
      <family val="2"/>
    </font>
    <font>
      <b/>
      <sz val="12"/>
      <name val="Times New Roman"/>
      <family val="1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2" fillId="0" borderId="0" xfId="0" applyFont="1"/>
    <xf numFmtId="0" fontId="2" fillId="0" borderId="3" xfId="0" applyFont="1" applyBorder="1"/>
    <xf numFmtId="0" fontId="5" fillId="0" borderId="0" xfId="0" applyFont="1"/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8" xfId="0" applyFont="1" applyBorder="1"/>
    <xf numFmtId="0" fontId="1" fillId="0" borderId="3" xfId="0" applyFont="1" applyBorder="1"/>
    <xf numFmtId="1" fontId="1" fillId="0" borderId="3" xfId="0" applyNumberFormat="1" applyFont="1" applyBorder="1"/>
    <xf numFmtId="164" fontId="1" fillId="0" borderId="3" xfId="0" applyNumberFormat="1" applyFont="1" applyBorder="1"/>
    <xf numFmtId="1" fontId="2" fillId="0" borderId="3" xfId="0" applyNumberFormat="1" applyFont="1" applyBorder="1"/>
    <xf numFmtId="164" fontId="2" fillId="0" borderId="3" xfId="0" applyNumberFormat="1" applyFont="1" applyBorder="1"/>
    <xf numFmtId="0" fontId="1" fillId="2" borderId="3" xfId="0" applyFont="1" applyFill="1" applyBorder="1"/>
    <xf numFmtId="164" fontId="1" fillId="2" borderId="3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4" xfId="0" applyFont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6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11" xfId="0" applyFont="1" applyBorder="1" applyAlignment="1"/>
    <xf numFmtId="167" fontId="0" fillId="0" borderId="11" xfId="1" applyNumberFormat="1" applyFont="1" applyBorder="1" applyAlignment="1"/>
    <xf numFmtId="167" fontId="12" fillId="0" borderId="11" xfId="1" applyNumberFormat="1" applyFont="1" applyBorder="1" applyAlignment="1"/>
    <xf numFmtId="0" fontId="0" fillId="3" borderId="11" xfId="0" applyFont="1" applyFill="1" applyBorder="1" applyAlignment="1"/>
    <xf numFmtId="167" fontId="12" fillId="3" borderId="11" xfId="1" applyNumberFormat="1" applyFont="1" applyFill="1" applyBorder="1" applyAlignment="1"/>
    <xf numFmtId="167" fontId="0" fillId="3" borderId="11" xfId="1" applyNumberFormat="1" applyFont="1" applyFill="1" applyBorder="1" applyAlignment="1"/>
    <xf numFmtId="0" fontId="2" fillId="0" borderId="12" xfId="0" applyFont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10" fillId="0" borderId="11" xfId="0" applyFont="1" applyBorder="1" applyAlignment="1"/>
    <xf numFmtId="43" fontId="13" fillId="0" borderId="11" xfId="1" applyNumberFormat="1" applyFont="1" applyBorder="1" applyAlignment="1"/>
    <xf numFmtId="0" fontId="7" fillId="0" borderId="13" xfId="0" applyFont="1" applyBorder="1"/>
    <xf numFmtId="0" fontId="7" fillId="0" borderId="11" xfId="0" applyFont="1" applyBorder="1"/>
    <xf numFmtId="0" fontId="8" fillId="0" borderId="11" xfId="0" applyFont="1" applyBorder="1"/>
    <xf numFmtId="164" fontId="8" fillId="0" borderId="11" xfId="0" applyNumberFormat="1" applyFont="1" applyBorder="1"/>
    <xf numFmtId="164" fontId="7" fillId="0" borderId="11" xfId="0" applyNumberFormat="1" applyFont="1" applyBorder="1"/>
    <xf numFmtId="167" fontId="7" fillId="0" borderId="11" xfId="0" applyNumberFormat="1" applyFont="1" applyBorder="1"/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4" fillId="0" borderId="11" xfId="0" applyFont="1" applyBorder="1"/>
    <xf numFmtId="0" fontId="8" fillId="2" borderId="11" xfId="0" applyFont="1" applyFill="1" applyBorder="1"/>
    <xf numFmtId="164" fontId="11" fillId="2" borderId="11" xfId="0" applyNumberFormat="1" applyFont="1" applyFill="1" applyBorder="1"/>
    <xf numFmtId="164" fontId="8" fillId="2" borderId="11" xfId="0" applyNumberFormat="1" applyFont="1" applyFill="1" applyBorder="1"/>
    <xf numFmtId="0" fontId="7" fillId="0" borderId="11" xfId="0" applyFont="1" applyBorder="1" applyAlignment="1">
      <alignment horizontal="left"/>
    </xf>
    <xf numFmtId="167" fontId="7" fillId="0" borderId="11" xfId="1" applyNumberFormat="1" applyFont="1" applyBorder="1"/>
    <xf numFmtId="0" fontId="7" fillId="0" borderId="11" xfId="0" applyFont="1" applyBorder="1" applyAlignment="1">
      <alignment horizontal="left"/>
    </xf>
    <xf numFmtId="164" fontId="7" fillId="0" borderId="11" xfId="0" applyNumberFormat="1" applyFont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164" fontId="9" fillId="2" borderId="11" xfId="0" applyNumberFormat="1" applyFont="1" applyFill="1" applyBorder="1"/>
    <xf numFmtId="0" fontId="7" fillId="2" borderId="11" xfId="0" applyFont="1" applyFill="1" applyBorder="1"/>
    <xf numFmtId="0" fontId="8" fillId="2" borderId="11" xfId="0" applyFont="1" applyFill="1" applyBorder="1" applyAlignment="1">
      <alignment horizontal="center"/>
    </xf>
    <xf numFmtId="167" fontId="7" fillId="2" borderId="11" xfId="0" applyNumberFormat="1" applyFont="1" applyFill="1" applyBorder="1"/>
    <xf numFmtId="0" fontId="8" fillId="0" borderId="1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topLeftCell="A23" zoomScale="118" zoomScaleNormal="118" workbookViewId="0">
      <selection activeCell="A4" sqref="A4:F30"/>
    </sheetView>
  </sheetViews>
  <sheetFormatPr defaultColWidth="14.42578125" defaultRowHeight="15" customHeight="1" x14ac:dyDescent="0.25"/>
  <cols>
    <col min="1" max="1" width="5.28515625" customWidth="1"/>
    <col min="2" max="2" width="23.28515625" customWidth="1"/>
    <col min="3" max="3" width="7.42578125" customWidth="1"/>
    <col min="4" max="4" width="11.85546875" customWidth="1"/>
    <col min="5" max="5" width="13.42578125" customWidth="1"/>
    <col min="6" max="6" width="24.5703125" customWidth="1"/>
    <col min="7" max="26" width="8.7109375" customWidth="1"/>
  </cols>
  <sheetData>
    <row r="1" spans="1:26" ht="18.75" customHeight="1" x14ac:dyDescent="0.3">
      <c r="A1" s="17" t="s">
        <v>35</v>
      </c>
      <c r="B1" s="18"/>
      <c r="C1" s="18"/>
      <c r="D1" s="18"/>
      <c r="E1" s="18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9"/>
      <c r="B2" s="20"/>
      <c r="C2" s="20"/>
      <c r="D2" s="20"/>
      <c r="E2" s="20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3"/>
      <c r="C3" s="3"/>
      <c r="D3" s="3"/>
      <c r="E3" s="3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22" t="s">
        <v>96</v>
      </c>
      <c r="B4" s="23"/>
      <c r="C4" s="23"/>
      <c r="D4" s="23"/>
      <c r="E4" s="23"/>
      <c r="F4" s="2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7"/>
      <c r="B5" s="37"/>
      <c r="C5" s="37"/>
      <c r="D5" s="37"/>
      <c r="E5" s="37"/>
      <c r="F5" s="3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8" t="s">
        <v>6</v>
      </c>
      <c r="B6" s="38" t="s">
        <v>1</v>
      </c>
      <c r="C6" s="38" t="s">
        <v>7</v>
      </c>
      <c r="D6" s="38" t="s">
        <v>8</v>
      </c>
      <c r="E6" s="38"/>
      <c r="F6" s="38" t="s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8"/>
      <c r="B7" s="39" t="s">
        <v>10</v>
      </c>
      <c r="C7" s="38"/>
      <c r="D7" s="38"/>
      <c r="E7" s="40">
        <f>SUM(E8:E11)</f>
        <v>36000000</v>
      </c>
      <c r="F7" s="3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8"/>
      <c r="B8" s="38" t="s">
        <v>11</v>
      </c>
      <c r="C8" s="38">
        <v>1</v>
      </c>
      <c r="D8" s="41">
        <v>3500000</v>
      </c>
      <c r="E8" s="41">
        <f t="shared" ref="E8:E11" si="0">D8*C8</f>
        <v>3500000</v>
      </c>
      <c r="F8" s="42">
        <f>E30*20%</f>
        <v>9286889.7959183641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8"/>
      <c r="B9" s="38" t="s">
        <v>14</v>
      </c>
      <c r="C9" s="38">
        <v>1</v>
      </c>
      <c r="D9" s="41">
        <v>8000000</v>
      </c>
      <c r="E9" s="41">
        <f t="shared" si="0"/>
        <v>8000000</v>
      </c>
      <c r="F9" s="3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8"/>
      <c r="B10" s="38" t="s">
        <v>15</v>
      </c>
      <c r="C10" s="38">
        <v>3</v>
      </c>
      <c r="D10" s="41">
        <v>4500000</v>
      </c>
      <c r="E10" s="41">
        <f t="shared" si="0"/>
        <v>13500000</v>
      </c>
      <c r="F10" s="4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8"/>
      <c r="B11" s="38" t="s">
        <v>16</v>
      </c>
      <c r="C11" s="38">
        <v>2</v>
      </c>
      <c r="D11" s="41">
        <v>5500000</v>
      </c>
      <c r="E11" s="41">
        <f t="shared" si="0"/>
        <v>11000000</v>
      </c>
      <c r="F11" s="3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8"/>
      <c r="B12" s="39" t="s">
        <v>17</v>
      </c>
      <c r="C12" s="38"/>
      <c r="D12" s="41"/>
      <c r="E12" s="40">
        <f>SUM(E13:E16)</f>
        <v>25000000</v>
      </c>
      <c r="F12" s="3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8"/>
      <c r="B13" s="38" t="s">
        <v>18</v>
      </c>
      <c r="C13" s="38">
        <v>1</v>
      </c>
      <c r="D13" s="41">
        <v>5000000</v>
      </c>
      <c r="E13" s="41">
        <f t="shared" ref="E13:E15" si="1">D13*C13</f>
        <v>5000000</v>
      </c>
      <c r="F13" s="3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8"/>
      <c r="B14" s="38" t="s">
        <v>19</v>
      </c>
      <c r="C14" s="38">
        <v>1</v>
      </c>
      <c r="D14" s="41">
        <v>20000000</v>
      </c>
      <c r="E14" s="41">
        <f t="shared" si="1"/>
        <v>20000000</v>
      </c>
      <c r="F14" s="3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1.75" x14ac:dyDescent="0.25">
      <c r="A15" s="38"/>
      <c r="B15" s="38" t="s">
        <v>20</v>
      </c>
      <c r="C15" s="38">
        <v>1</v>
      </c>
      <c r="D15" s="41"/>
      <c r="E15" s="41">
        <f t="shared" si="1"/>
        <v>0</v>
      </c>
      <c r="F15" s="43" t="s">
        <v>103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8"/>
      <c r="B16" s="38" t="s">
        <v>21</v>
      </c>
      <c r="C16" s="38"/>
      <c r="D16" s="38"/>
      <c r="E16" s="41"/>
      <c r="F16" s="3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.75" customHeight="1" x14ac:dyDescent="0.25">
      <c r="A17" s="38"/>
      <c r="B17" s="58" t="s">
        <v>105</v>
      </c>
      <c r="C17" s="38">
        <v>1</v>
      </c>
      <c r="D17" s="38"/>
      <c r="E17" s="40">
        <f>E20*40%</f>
        <v>65956299.31972789</v>
      </c>
      <c r="F17" s="43" t="s">
        <v>22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44" t="s">
        <v>23</v>
      </c>
      <c r="B18" s="45"/>
      <c r="C18" s="38"/>
      <c r="D18" s="38"/>
      <c r="E18" s="40">
        <f>E7+E12+E17</f>
        <v>126956299.3197279</v>
      </c>
      <c r="F18" s="3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46" t="s">
        <v>24</v>
      </c>
      <c r="B19" s="46"/>
      <c r="C19" s="46">
        <v>1</v>
      </c>
      <c r="D19" s="46"/>
      <c r="E19" s="47">
        <f>E20-E18</f>
        <v>37934448.979591817</v>
      </c>
      <c r="F19" s="4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8"/>
      <c r="B20" s="38" t="s">
        <v>25</v>
      </c>
      <c r="C20" s="38">
        <v>1</v>
      </c>
      <c r="D20" s="38"/>
      <c r="E20" s="40">
        <f>'UOT TINH DT CA PHE'!H11</f>
        <v>164890748.29931971</v>
      </c>
      <c r="F20" s="3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9"/>
      <c r="B21" s="49" t="s">
        <v>26</v>
      </c>
      <c r="C21" s="38"/>
      <c r="D21" s="38"/>
      <c r="E21" s="40">
        <f>E23</f>
        <v>15000000</v>
      </c>
      <c r="F21" s="3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5" customFormat="1" ht="51.75" x14ac:dyDescent="0.25">
      <c r="A22" s="49"/>
      <c r="B22" s="49" t="s">
        <v>100</v>
      </c>
      <c r="C22" s="38"/>
      <c r="D22" s="50">
        <f>(E17*30%)</f>
        <v>19786889.795918368</v>
      </c>
      <c r="E22" s="40">
        <f>D22*8%</f>
        <v>1582951.1836734693</v>
      </c>
      <c r="F22" s="43" t="s">
        <v>101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8">
        <v>2</v>
      </c>
      <c r="B23" s="39" t="s">
        <v>27</v>
      </c>
      <c r="C23" s="39"/>
      <c r="D23" s="39"/>
      <c r="E23" s="40">
        <f>SUM(E24:E27)</f>
        <v>15000000</v>
      </c>
      <c r="F23" s="3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x14ac:dyDescent="0.25">
      <c r="A24" s="38"/>
      <c r="B24" s="38" t="s">
        <v>28</v>
      </c>
      <c r="C24" s="38">
        <v>5</v>
      </c>
      <c r="D24" s="41">
        <v>200000</v>
      </c>
      <c r="E24" s="41">
        <f>D24*C24</f>
        <v>1000000</v>
      </c>
      <c r="F24" s="43" t="s">
        <v>97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8"/>
      <c r="B25" s="38" t="s">
        <v>29</v>
      </c>
      <c r="C25" s="38">
        <v>1</v>
      </c>
      <c r="D25" s="41">
        <v>5000000</v>
      </c>
      <c r="E25" s="41">
        <f>D25*10%</f>
        <v>500000</v>
      </c>
      <c r="F25" s="38" t="s">
        <v>30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8"/>
      <c r="B26" s="38" t="s">
        <v>31</v>
      </c>
      <c r="C26" s="38">
        <v>3</v>
      </c>
      <c r="D26" s="41">
        <v>30000000</v>
      </c>
      <c r="E26" s="41">
        <f>D26*40%</f>
        <v>12000000</v>
      </c>
      <c r="F26" s="38" t="s">
        <v>104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8"/>
      <c r="B27" s="38" t="s">
        <v>98</v>
      </c>
      <c r="C27" s="38">
        <v>2</v>
      </c>
      <c r="D27" s="41">
        <v>10000000</v>
      </c>
      <c r="E27" s="41">
        <f>D27*15%</f>
        <v>1500000</v>
      </c>
      <c r="F27" s="38" t="s">
        <v>99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1" t="s">
        <v>32</v>
      </c>
      <c r="B28" s="45"/>
      <c r="C28" s="52">
        <v>1</v>
      </c>
      <c r="D28" s="41">
        <v>6500000</v>
      </c>
      <c r="E28" s="41">
        <f>C28*D28</f>
        <v>6500000</v>
      </c>
      <c r="F28" s="3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3" t="s">
        <v>33</v>
      </c>
      <c r="B29" s="45"/>
      <c r="C29" s="46"/>
      <c r="D29" s="46"/>
      <c r="E29" s="54">
        <f>E21-E28</f>
        <v>8500000</v>
      </c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6" t="s">
        <v>34</v>
      </c>
      <c r="B30" s="45"/>
      <c r="C30" s="45"/>
      <c r="D30" s="45"/>
      <c r="E30" s="48">
        <f>E19+E29</f>
        <v>46434448.979591817</v>
      </c>
      <c r="F30" s="57">
        <f>E30*5%</f>
        <v>2321722.448979591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mergeCells count="7">
    <mergeCell ref="A28:B28"/>
    <mergeCell ref="A1:F1"/>
    <mergeCell ref="A2:F2"/>
    <mergeCell ref="A18:B18"/>
    <mergeCell ref="A4:F4"/>
    <mergeCell ref="A29:B29"/>
    <mergeCell ref="A30:D3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3" sqref="A3:H11"/>
    </sheetView>
  </sheetViews>
  <sheetFormatPr defaultColWidth="14.42578125" defaultRowHeight="15" customHeight="1" x14ac:dyDescent="0.25"/>
  <cols>
    <col min="1" max="1" width="22.28515625" bestFit="1" customWidth="1"/>
    <col min="2" max="2" width="9.42578125" customWidth="1"/>
    <col min="3" max="3" width="10.42578125" customWidth="1"/>
    <col min="4" max="4" width="9.7109375" customWidth="1"/>
    <col min="5" max="5" width="8.7109375" customWidth="1"/>
    <col min="6" max="6" width="7.42578125" customWidth="1"/>
    <col min="7" max="7" width="12.85546875" customWidth="1"/>
    <col min="8" max="8" width="14" customWidth="1"/>
    <col min="9" max="26" width="8.7109375" customWidth="1"/>
  </cols>
  <sheetData>
    <row r="1" spans="1:26" x14ac:dyDescent="0.25">
      <c r="A1" s="25" t="s">
        <v>0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5" customFormat="1" x14ac:dyDescent="0.25">
      <c r="A2" s="1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34" t="s">
        <v>107</v>
      </c>
      <c r="E3" s="34"/>
      <c r="F3" s="34"/>
      <c r="G3" s="34"/>
      <c r="H3" s="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x14ac:dyDescent="0.25">
      <c r="A4" s="2" t="s">
        <v>1</v>
      </c>
      <c r="B4" s="4" t="s">
        <v>90</v>
      </c>
      <c r="C4" s="4" t="s">
        <v>91</v>
      </c>
      <c r="D4" s="33" t="s">
        <v>106</v>
      </c>
      <c r="E4" s="33" t="s">
        <v>2</v>
      </c>
      <c r="F4" s="33" t="s">
        <v>3</v>
      </c>
      <c r="G4" s="33" t="s">
        <v>92</v>
      </c>
      <c r="H4" s="33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x14ac:dyDescent="0.25">
      <c r="A5" s="5" t="s">
        <v>5</v>
      </c>
      <c r="B5" s="7">
        <v>25</v>
      </c>
      <c r="C5" s="8">
        <f>B5*4</f>
        <v>100</v>
      </c>
      <c r="D5" s="8">
        <f>C5*60%</f>
        <v>60</v>
      </c>
      <c r="E5" s="7">
        <v>3</v>
      </c>
      <c r="F5" s="8">
        <f>D5*E5</f>
        <v>180</v>
      </c>
      <c r="G5" s="9">
        <f>F5*'GIÁ BQ'!D54</f>
        <v>4946722.448979591</v>
      </c>
      <c r="H5" s="9">
        <f>G5*30</f>
        <v>148401673.46938774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" t="s">
        <v>93</v>
      </c>
      <c r="B6" s="2"/>
      <c r="C6" s="10">
        <f>B6/6</f>
        <v>0</v>
      </c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" t="s">
        <v>94</v>
      </c>
      <c r="B7" s="11"/>
      <c r="C7" s="10">
        <f>B7/6</f>
        <v>0</v>
      </c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2" t="s">
        <v>95</v>
      </c>
      <c r="B8" s="2"/>
      <c r="C8" s="10">
        <f>B8/6</f>
        <v>0</v>
      </c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7" t="s">
        <v>12</v>
      </c>
      <c r="B10" s="7"/>
      <c r="C10" s="7"/>
      <c r="D10" s="7"/>
      <c r="E10" s="7"/>
      <c r="F10" s="7">
        <v>20</v>
      </c>
      <c r="G10" s="9">
        <f>F10*'GIÁ BQ'!D54</f>
        <v>549635.82766439905</v>
      </c>
      <c r="H10" s="9">
        <f>G10*30</f>
        <v>16489074.829931971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2" t="s">
        <v>13</v>
      </c>
      <c r="B11" s="12"/>
      <c r="C11" s="12"/>
      <c r="D11" s="12"/>
      <c r="E11" s="12"/>
      <c r="F11" s="12"/>
      <c r="G11" s="12"/>
      <c r="H11" s="13">
        <f>H5+H10</f>
        <v>164890748.29931971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H1"/>
    <mergeCell ref="D3:H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opLeftCell="A31" workbookViewId="0">
      <selection activeCell="D54" sqref="D54"/>
    </sheetView>
  </sheetViews>
  <sheetFormatPr defaultColWidth="14.42578125" defaultRowHeight="15" customHeight="1" x14ac:dyDescent="0.25"/>
  <cols>
    <col min="1" max="1" width="4.5703125" customWidth="1"/>
    <col min="2" max="2" width="21.42578125" style="15" customWidth="1"/>
    <col min="3" max="3" width="24.42578125" customWidth="1"/>
    <col min="4" max="4" width="18" customWidth="1"/>
    <col min="5" max="6" width="18" style="15" customWidth="1"/>
    <col min="7" max="7" width="12.85546875" customWidth="1"/>
    <col min="8" max="29" width="8.7109375" customWidth="1"/>
  </cols>
  <sheetData>
    <row r="1" spans="1:7" ht="15" customHeight="1" x14ac:dyDescent="0.25">
      <c r="A1" t="s">
        <v>36</v>
      </c>
    </row>
    <row r="3" spans="1:7" ht="15" customHeight="1" x14ac:dyDescent="0.25">
      <c r="A3" s="27" t="s">
        <v>6</v>
      </c>
      <c r="B3" s="27"/>
      <c r="C3" s="27" t="s">
        <v>37</v>
      </c>
      <c r="D3" s="27" t="s">
        <v>38</v>
      </c>
      <c r="E3" s="27" t="s">
        <v>87</v>
      </c>
      <c r="F3" s="27" t="s">
        <v>88</v>
      </c>
      <c r="G3" s="27" t="s">
        <v>39</v>
      </c>
    </row>
    <row r="4" spans="1:7" s="15" customFormat="1" ht="15" customHeight="1" x14ac:dyDescent="0.25">
      <c r="A4" s="27">
        <v>1</v>
      </c>
      <c r="B4" s="27" t="s">
        <v>80</v>
      </c>
      <c r="C4" s="27"/>
      <c r="D4" s="29">
        <f>SUM(D5:D10)/6</f>
        <v>28000</v>
      </c>
      <c r="E4" s="28"/>
      <c r="F4" s="28"/>
      <c r="G4" s="27"/>
    </row>
    <row r="5" spans="1:7" ht="15" customHeight="1" x14ac:dyDescent="0.25">
      <c r="A5" s="27">
        <v>2</v>
      </c>
      <c r="B5" s="27"/>
      <c r="C5" s="27" t="s">
        <v>40</v>
      </c>
      <c r="D5" s="28">
        <v>22000</v>
      </c>
      <c r="E5" s="28"/>
      <c r="F5" s="28"/>
      <c r="G5" s="27"/>
    </row>
    <row r="6" spans="1:7" ht="15" customHeight="1" x14ac:dyDescent="0.25">
      <c r="A6" s="27">
        <v>3</v>
      </c>
      <c r="B6" s="27"/>
      <c r="C6" s="27" t="s">
        <v>41</v>
      </c>
      <c r="D6" s="28">
        <v>28000</v>
      </c>
      <c r="E6" s="28"/>
      <c r="F6" s="28"/>
      <c r="G6" s="27"/>
    </row>
    <row r="7" spans="1:7" ht="15" customHeight="1" x14ac:dyDescent="0.25">
      <c r="A7" s="27">
        <v>4</v>
      </c>
      <c r="B7" s="27"/>
      <c r="C7" s="27" t="s">
        <v>42</v>
      </c>
      <c r="D7" s="28">
        <v>25000</v>
      </c>
      <c r="E7" s="28"/>
      <c r="F7" s="28"/>
      <c r="G7" s="27"/>
    </row>
    <row r="8" spans="1:7" ht="15" customHeight="1" x14ac:dyDescent="0.25">
      <c r="A8" s="27">
        <v>5</v>
      </c>
      <c r="B8" s="27"/>
      <c r="C8" s="27" t="s">
        <v>43</v>
      </c>
      <c r="D8" s="28">
        <v>30000</v>
      </c>
      <c r="E8" s="28"/>
      <c r="F8" s="28"/>
      <c r="G8" s="27"/>
    </row>
    <row r="9" spans="1:7" ht="15" customHeight="1" x14ac:dyDescent="0.25">
      <c r="A9" s="27">
        <v>6</v>
      </c>
      <c r="B9" s="27"/>
      <c r="C9" s="27" t="s">
        <v>44</v>
      </c>
      <c r="D9" s="28">
        <v>28000</v>
      </c>
      <c r="E9" s="28"/>
      <c r="F9" s="28"/>
      <c r="G9" s="27"/>
    </row>
    <row r="10" spans="1:7" ht="15" customHeight="1" x14ac:dyDescent="0.25">
      <c r="A10" s="27">
        <v>7</v>
      </c>
      <c r="B10" s="27"/>
      <c r="C10" s="27" t="s">
        <v>45</v>
      </c>
      <c r="D10" s="28">
        <v>35000</v>
      </c>
      <c r="E10" s="28"/>
      <c r="F10" s="28"/>
      <c r="G10" s="27"/>
    </row>
    <row r="11" spans="1:7" ht="15" customHeight="1" x14ac:dyDescent="0.25">
      <c r="A11" s="27">
        <v>8</v>
      </c>
      <c r="B11" s="27" t="s">
        <v>81</v>
      </c>
      <c r="C11" s="27"/>
      <c r="D11" s="29">
        <f>SUM(D12:D16)/5</f>
        <v>36400</v>
      </c>
      <c r="E11" s="28"/>
      <c r="F11" s="28"/>
      <c r="G11" s="27"/>
    </row>
    <row r="12" spans="1:7" ht="15" customHeight="1" x14ac:dyDescent="0.25">
      <c r="A12" s="27">
        <v>9</v>
      </c>
      <c r="B12" s="27"/>
      <c r="C12" s="27" t="s">
        <v>46</v>
      </c>
      <c r="D12" s="28">
        <v>39000</v>
      </c>
      <c r="E12" s="28"/>
      <c r="F12" s="28"/>
      <c r="G12" s="27"/>
    </row>
    <row r="13" spans="1:7" ht="15" customHeight="1" x14ac:dyDescent="0.25">
      <c r="A13" s="27">
        <v>10</v>
      </c>
      <c r="B13" s="27"/>
      <c r="C13" s="27" t="s">
        <v>47</v>
      </c>
      <c r="D13" s="28">
        <v>39000</v>
      </c>
      <c r="E13" s="28"/>
      <c r="F13" s="28"/>
      <c r="G13" s="27"/>
    </row>
    <row r="14" spans="1:7" ht="15" customHeight="1" x14ac:dyDescent="0.25">
      <c r="A14" s="27">
        <v>11</v>
      </c>
      <c r="B14" s="27"/>
      <c r="C14" s="27" t="s">
        <v>48</v>
      </c>
      <c r="D14" s="28">
        <v>39000</v>
      </c>
      <c r="E14" s="28"/>
      <c r="F14" s="28"/>
      <c r="G14" s="27"/>
    </row>
    <row r="15" spans="1:7" ht="15" customHeight="1" x14ac:dyDescent="0.25">
      <c r="A15" s="27">
        <v>12</v>
      </c>
      <c r="B15" s="27"/>
      <c r="C15" s="27" t="s">
        <v>49</v>
      </c>
      <c r="D15" s="28">
        <v>30000</v>
      </c>
      <c r="E15" s="28"/>
      <c r="F15" s="28"/>
      <c r="G15" s="27"/>
    </row>
    <row r="16" spans="1:7" ht="15" customHeight="1" x14ac:dyDescent="0.25">
      <c r="A16" s="27">
        <v>13</v>
      </c>
      <c r="B16" s="27"/>
      <c r="C16" s="27" t="s">
        <v>50</v>
      </c>
      <c r="D16" s="28">
        <v>35000</v>
      </c>
      <c r="E16" s="28"/>
      <c r="F16" s="28"/>
      <c r="G16" s="27"/>
    </row>
    <row r="17" spans="1:7" ht="15" customHeight="1" x14ac:dyDescent="0.25">
      <c r="A17" s="27">
        <v>14</v>
      </c>
      <c r="B17" s="27" t="s">
        <v>82</v>
      </c>
      <c r="C17" s="27"/>
      <c r="D17" s="29">
        <f>SUM(D18:D24)/7</f>
        <v>33142.857142857145</v>
      </c>
      <c r="E17" s="28"/>
      <c r="F17" s="28"/>
      <c r="G17" s="27"/>
    </row>
    <row r="18" spans="1:7" ht="15" customHeight="1" x14ac:dyDescent="0.25">
      <c r="A18" s="27">
        <v>15</v>
      </c>
      <c r="B18" s="27"/>
      <c r="C18" s="27" t="s">
        <v>51</v>
      </c>
      <c r="D18" s="28">
        <v>35000</v>
      </c>
      <c r="E18" s="28"/>
      <c r="F18" s="28"/>
      <c r="G18" s="27"/>
    </row>
    <row r="19" spans="1:7" ht="15" customHeight="1" x14ac:dyDescent="0.25">
      <c r="A19" s="27">
        <v>16</v>
      </c>
      <c r="B19" s="27"/>
      <c r="C19" s="27" t="s">
        <v>52</v>
      </c>
      <c r="D19" s="28">
        <v>35000</v>
      </c>
      <c r="E19" s="28"/>
      <c r="F19" s="28"/>
      <c r="G19" s="27"/>
    </row>
    <row r="20" spans="1:7" ht="15" customHeight="1" x14ac:dyDescent="0.25">
      <c r="A20" s="27">
        <v>17</v>
      </c>
      <c r="B20" s="27"/>
      <c r="C20" s="27" t="s">
        <v>53</v>
      </c>
      <c r="D20" s="28">
        <v>35000</v>
      </c>
      <c r="E20" s="28"/>
      <c r="F20" s="28"/>
      <c r="G20" s="27"/>
    </row>
    <row r="21" spans="1:7" ht="15" customHeight="1" x14ac:dyDescent="0.25">
      <c r="A21" s="27">
        <v>18</v>
      </c>
      <c r="B21" s="27"/>
      <c r="C21" s="27" t="s">
        <v>54</v>
      </c>
      <c r="D21" s="28">
        <v>30000</v>
      </c>
      <c r="E21" s="28"/>
      <c r="F21" s="28"/>
      <c r="G21" s="27"/>
    </row>
    <row r="22" spans="1:7" ht="15.75" customHeight="1" x14ac:dyDescent="0.25">
      <c r="A22" s="27">
        <v>19</v>
      </c>
      <c r="B22" s="27"/>
      <c r="C22" s="27" t="s">
        <v>55</v>
      </c>
      <c r="D22" s="28">
        <v>32000</v>
      </c>
      <c r="E22" s="28"/>
      <c r="F22" s="28"/>
      <c r="G22" s="27"/>
    </row>
    <row r="23" spans="1:7" ht="15.75" customHeight="1" x14ac:dyDescent="0.25">
      <c r="A23" s="27">
        <v>20</v>
      </c>
      <c r="B23" s="27"/>
      <c r="C23" s="27" t="s">
        <v>56</v>
      </c>
      <c r="D23" s="28">
        <v>30000</v>
      </c>
      <c r="E23" s="28"/>
      <c r="F23" s="28"/>
      <c r="G23" s="27"/>
    </row>
    <row r="24" spans="1:7" ht="15.75" customHeight="1" x14ac:dyDescent="0.25">
      <c r="A24" s="27">
        <v>21</v>
      </c>
      <c r="B24" s="27"/>
      <c r="C24" s="27" t="s">
        <v>57</v>
      </c>
      <c r="D24" s="28">
        <v>35000</v>
      </c>
      <c r="E24" s="28"/>
      <c r="F24" s="28"/>
      <c r="G24" s="27"/>
    </row>
    <row r="25" spans="1:7" ht="15.75" customHeight="1" x14ac:dyDescent="0.25">
      <c r="A25" s="27">
        <v>22</v>
      </c>
      <c r="B25" s="27" t="s">
        <v>83</v>
      </c>
      <c r="C25" s="27"/>
      <c r="D25" s="29">
        <f>SUM(D26:D28)/3</f>
        <v>36666.666666666664</v>
      </c>
      <c r="E25" s="28"/>
      <c r="F25" s="28"/>
      <c r="G25" s="27"/>
    </row>
    <row r="26" spans="1:7" ht="15.75" customHeight="1" x14ac:dyDescent="0.25">
      <c r="A26" s="27">
        <v>23</v>
      </c>
      <c r="B26" s="27"/>
      <c r="C26" s="27" t="s">
        <v>58</v>
      </c>
      <c r="D26" s="28">
        <v>30000</v>
      </c>
      <c r="E26" s="28"/>
      <c r="F26" s="28"/>
      <c r="G26" s="27"/>
    </row>
    <row r="27" spans="1:7" ht="15.75" customHeight="1" x14ac:dyDescent="0.25">
      <c r="A27" s="27">
        <v>24</v>
      </c>
      <c r="B27" s="27"/>
      <c r="C27" s="27" t="s">
        <v>59</v>
      </c>
      <c r="D27" s="28">
        <v>40000</v>
      </c>
      <c r="E27" s="28"/>
      <c r="F27" s="28"/>
      <c r="G27" s="27"/>
    </row>
    <row r="28" spans="1:7" ht="15.75" customHeight="1" x14ac:dyDescent="0.25">
      <c r="A28" s="27">
        <v>25</v>
      </c>
      <c r="B28" s="27"/>
      <c r="C28" s="27" t="s">
        <v>60</v>
      </c>
      <c r="D28" s="28">
        <v>40000</v>
      </c>
      <c r="E28" s="28"/>
      <c r="F28" s="28"/>
      <c r="G28" s="27"/>
    </row>
    <row r="29" spans="1:7" ht="15.75" customHeight="1" x14ac:dyDescent="0.25">
      <c r="A29" s="27">
        <v>26</v>
      </c>
      <c r="B29" s="27" t="s">
        <v>84</v>
      </c>
      <c r="C29" s="27"/>
      <c r="D29" s="29">
        <f>SUM(D30:D33)/4</f>
        <v>30500</v>
      </c>
      <c r="E29" s="28"/>
      <c r="F29" s="28"/>
      <c r="G29" s="27"/>
    </row>
    <row r="30" spans="1:7" ht="15.75" customHeight="1" x14ac:dyDescent="0.25">
      <c r="A30" s="27">
        <v>27</v>
      </c>
      <c r="B30" s="27"/>
      <c r="C30" s="27" t="s">
        <v>61</v>
      </c>
      <c r="D30" s="28">
        <v>30000</v>
      </c>
      <c r="E30" s="28"/>
      <c r="F30" s="28"/>
      <c r="G30" s="27"/>
    </row>
    <row r="31" spans="1:7" ht="15.75" customHeight="1" x14ac:dyDescent="0.25">
      <c r="A31" s="27">
        <v>28</v>
      </c>
      <c r="B31" s="27"/>
      <c r="C31" s="27" t="s">
        <v>62</v>
      </c>
      <c r="D31" s="28">
        <v>32000</v>
      </c>
      <c r="E31" s="28"/>
      <c r="F31" s="28"/>
      <c r="G31" s="27"/>
    </row>
    <row r="32" spans="1:7" ht="15.75" customHeight="1" x14ac:dyDescent="0.25">
      <c r="A32" s="27">
        <v>29</v>
      </c>
      <c r="B32" s="27"/>
      <c r="C32" s="27" t="s">
        <v>63</v>
      </c>
      <c r="D32" s="28">
        <v>30000</v>
      </c>
      <c r="E32" s="28"/>
      <c r="F32" s="28"/>
      <c r="G32" s="27"/>
    </row>
    <row r="33" spans="1:7" ht="15.75" customHeight="1" x14ac:dyDescent="0.25">
      <c r="A33" s="27">
        <v>30</v>
      </c>
      <c r="B33" s="27"/>
      <c r="C33" s="27" t="s">
        <v>64</v>
      </c>
      <c r="D33" s="28">
        <v>30000</v>
      </c>
      <c r="E33" s="28"/>
      <c r="F33" s="28"/>
      <c r="G33" s="27"/>
    </row>
    <row r="34" spans="1:7" ht="15.75" customHeight="1" x14ac:dyDescent="0.25">
      <c r="A34" s="27">
        <v>31</v>
      </c>
      <c r="B34" s="27" t="s">
        <v>85</v>
      </c>
      <c r="C34" s="27"/>
      <c r="D34" s="29">
        <f>SUM(D35:D39)/5</f>
        <v>25000</v>
      </c>
      <c r="E34" s="28"/>
      <c r="F34" s="28"/>
      <c r="G34" s="27"/>
    </row>
    <row r="35" spans="1:7" ht="15.75" customHeight="1" x14ac:dyDescent="0.25">
      <c r="A35" s="27">
        <v>32</v>
      </c>
      <c r="B35" s="27"/>
      <c r="C35" s="27" t="s">
        <v>65</v>
      </c>
      <c r="D35" s="28">
        <v>20000</v>
      </c>
      <c r="E35" s="28"/>
      <c r="F35" s="28"/>
      <c r="G35" s="27"/>
    </row>
    <row r="36" spans="1:7" ht="15.75" customHeight="1" x14ac:dyDescent="0.25">
      <c r="A36" s="27">
        <v>33</v>
      </c>
      <c r="B36" s="27"/>
      <c r="C36" s="27" t="s">
        <v>66</v>
      </c>
      <c r="D36" s="28">
        <v>25000</v>
      </c>
      <c r="E36" s="28"/>
      <c r="F36" s="28"/>
      <c r="G36" s="27"/>
    </row>
    <row r="37" spans="1:7" ht="15.75" customHeight="1" x14ac:dyDescent="0.25">
      <c r="A37" s="27">
        <v>34</v>
      </c>
      <c r="B37" s="27"/>
      <c r="C37" s="27" t="s">
        <v>67</v>
      </c>
      <c r="D37" s="28">
        <v>30000</v>
      </c>
      <c r="E37" s="28"/>
      <c r="F37" s="28"/>
      <c r="G37" s="27"/>
    </row>
    <row r="38" spans="1:7" ht="15.75" customHeight="1" x14ac:dyDescent="0.25">
      <c r="A38" s="27">
        <v>35</v>
      </c>
      <c r="B38" s="27"/>
      <c r="C38" s="27" t="s">
        <v>68</v>
      </c>
      <c r="D38" s="28">
        <v>25000</v>
      </c>
      <c r="E38" s="28"/>
      <c r="F38" s="28"/>
      <c r="G38" s="27"/>
    </row>
    <row r="39" spans="1:7" ht="15.75" customHeight="1" x14ac:dyDescent="0.25">
      <c r="A39" s="27">
        <v>36</v>
      </c>
      <c r="B39" s="27"/>
      <c r="C39" s="27" t="s">
        <v>69</v>
      </c>
      <c r="D39" s="28">
        <v>25000</v>
      </c>
      <c r="E39" s="28"/>
      <c r="F39" s="28"/>
      <c r="G39" s="27"/>
    </row>
    <row r="40" spans="1:7" ht="15.75" customHeight="1" x14ac:dyDescent="0.25">
      <c r="A40" s="27">
        <v>37</v>
      </c>
      <c r="B40" s="27" t="s">
        <v>86</v>
      </c>
      <c r="C40" s="27"/>
      <c r="D40" s="29">
        <f>SUM(D41:D49)/9</f>
        <v>32111.111111111109</v>
      </c>
      <c r="E40" s="28"/>
      <c r="F40" s="28"/>
      <c r="G40" s="27"/>
    </row>
    <row r="41" spans="1:7" ht="15.75" customHeight="1" x14ac:dyDescent="0.25">
      <c r="A41" s="27">
        <v>38</v>
      </c>
      <c r="B41" s="27"/>
      <c r="C41" s="27" t="s">
        <v>70</v>
      </c>
      <c r="D41" s="28">
        <v>30000</v>
      </c>
      <c r="E41" s="28"/>
      <c r="F41" s="28"/>
      <c r="G41" s="27"/>
    </row>
    <row r="42" spans="1:7" ht="15.75" customHeight="1" x14ac:dyDescent="0.25">
      <c r="A42" s="27">
        <v>39</v>
      </c>
      <c r="B42" s="27"/>
      <c r="C42" s="27" t="s">
        <v>71</v>
      </c>
      <c r="D42" s="28">
        <v>33000</v>
      </c>
      <c r="E42" s="28"/>
      <c r="F42" s="28"/>
      <c r="G42" s="27"/>
    </row>
    <row r="43" spans="1:7" ht="15.75" customHeight="1" x14ac:dyDescent="0.25">
      <c r="A43" s="27">
        <v>40</v>
      </c>
      <c r="B43" s="27"/>
      <c r="C43" s="27" t="s">
        <v>72</v>
      </c>
      <c r="D43" s="28">
        <v>40000</v>
      </c>
      <c r="E43" s="28"/>
      <c r="F43" s="28"/>
      <c r="G43" s="27"/>
    </row>
    <row r="44" spans="1:7" ht="15.75" customHeight="1" x14ac:dyDescent="0.25">
      <c r="A44" s="27">
        <v>41</v>
      </c>
      <c r="B44" s="27"/>
      <c r="C44" s="27" t="s">
        <v>73</v>
      </c>
      <c r="D44" s="28">
        <v>32000</v>
      </c>
      <c r="E44" s="28"/>
      <c r="F44" s="28"/>
      <c r="G44" s="27"/>
    </row>
    <row r="45" spans="1:7" ht="15.75" customHeight="1" x14ac:dyDescent="0.25">
      <c r="A45" s="27">
        <v>42</v>
      </c>
      <c r="B45" s="27"/>
      <c r="C45" s="27" t="s">
        <v>74</v>
      </c>
      <c r="D45" s="28">
        <v>32000</v>
      </c>
      <c r="E45" s="28"/>
      <c r="F45" s="28"/>
      <c r="G45" s="27"/>
    </row>
    <row r="46" spans="1:7" ht="15.75" customHeight="1" x14ac:dyDescent="0.25">
      <c r="A46" s="27">
        <v>43</v>
      </c>
      <c r="B46" s="27"/>
      <c r="C46" s="27" t="s">
        <v>75</v>
      </c>
      <c r="D46" s="28">
        <v>30000</v>
      </c>
      <c r="E46" s="28"/>
      <c r="F46" s="28"/>
      <c r="G46" s="27"/>
    </row>
    <row r="47" spans="1:7" ht="15.75" customHeight="1" x14ac:dyDescent="0.25">
      <c r="A47" s="27">
        <v>44</v>
      </c>
      <c r="B47" s="27"/>
      <c r="C47" s="27" t="s">
        <v>76</v>
      </c>
      <c r="D47" s="28">
        <v>30000</v>
      </c>
      <c r="E47" s="28"/>
      <c r="F47" s="28"/>
      <c r="G47" s="27"/>
    </row>
    <row r="48" spans="1:7" ht="15.75" customHeight="1" x14ac:dyDescent="0.25">
      <c r="A48" s="27">
        <v>45</v>
      </c>
      <c r="B48" s="27"/>
      <c r="C48" s="27" t="s">
        <v>77</v>
      </c>
      <c r="D48" s="28">
        <v>30000</v>
      </c>
      <c r="E48" s="28"/>
      <c r="F48" s="28"/>
      <c r="G48" s="27"/>
    </row>
    <row r="49" spans="1:7" ht="15.75" customHeight="1" x14ac:dyDescent="0.25">
      <c r="A49" s="27">
        <v>46</v>
      </c>
      <c r="B49" s="27"/>
      <c r="C49" s="27" t="s">
        <v>78</v>
      </c>
      <c r="D49" s="28">
        <v>32000</v>
      </c>
      <c r="E49" s="28"/>
      <c r="F49" s="28"/>
      <c r="G49" s="27"/>
    </row>
    <row r="50" spans="1:7" ht="15.75" customHeight="1" x14ac:dyDescent="0.25">
      <c r="A50" s="27">
        <v>47</v>
      </c>
      <c r="B50" s="27"/>
      <c r="C50" s="27"/>
      <c r="D50" s="28"/>
      <c r="E50" s="28"/>
      <c r="F50" s="28"/>
      <c r="G50" s="27"/>
    </row>
    <row r="51" spans="1:7" ht="15.75" customHeight="1" x14ac:dyDescent="0.25">
      <c r="A51" s="27">
        <v>48</v>
      </c>
      <c r="B51" s="27"/>
      <c r="C51" s="27" t="s">
        <v>79</v>
      </c>
      <c r="D51" s="29">
        <v>35000</v>
      </c>
      <c r="E51" s="28"/>
      <c r="F51" s="28"/>
      <c r="G51" s="27"/>
    </row>
    <row r="52" spans="1:7" ht="15.75" customHeight="1" x14ac:dyDescent="0.25">
      <c r="A52" s="27">
        <v>49</v>
      </c>
      <c r="B52" s="27"/>
      <c r="C52" s="27"/>
      <c r="D52" s="28"/>
      <c r="E52" s="28"/>
      <c r="F52" s="28"/>
      <c r="G52" s="27"/>
    </row>
    <row r="53" spans="1:7" ht="15.75" customHeight="1" x14ac:dyDescent="0.25">
      <c r="A53" s="30">
        <v>50</v>
      </c>
      <c r="B53" s="30" t="s">
        <v>89</v>
      </c>
      <c r="C53" s="30"/>
      <c r="D53" s="31">
        <f>(D4+D11+D17+D25+D34+D40+D51)/7</f>
        <v>32331.519274376416</v>
      </c>
      <c r="E53" s="32"/>
      <c r="F53" s="32"/>
      <c r="G53" s="30"/>
    </row>
    <row r="54" spans="1:7" ht="15.75" customHeight="1" x14ac:dyDescent="0.25">
      <c r="A54" s="27">
        <v>51</v>
      </c>
      <c r="B54" s="35" t="s">
        <v>102</v>
      </c>
      <c r="C54" s="27"/>
      <c r="D54" s="36">
        <f>D53*85%</f>
        <v>27481.791383219952</v>
      </c>
      <c r="E54" s="28"/>
      <c r="F54" s="28"/>
      <c r="G54" s="27"/>
    </row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KET QUA KD</vt:lpstr>
      <vt:lpstr>UOT TINH DT CA PHE</vt:lpstr>
      <vt:lpstr>GIÁ BQ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Dang Cong Danh</cp:lastModifiedBy>
  <dcterms:created xsi:type="dcterms:W3CDTF">2018-12-05T03:07:37Z</dcterms:created>
  <dcterms:modified xsi:type="dcterms:W3CDTF">2019-09-17T16:59:49Z</dcterms:modified>
</cp:coreProperties>
</file>